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Инструкция" sheetId="1" r:id="rId1"/>
    <sheet name="Расчет" sheetId="4" r:id="rId2"/>
    <sheet name="Справка" sheetId="6" r:id="rId3"/>
  </sheets>
  <definedNames>
    <definedName name="Диаметр" localSheetId="1">Расчет!$C$17:$H$17</definedName>
    <definedName name="Диаметр">Инструкция!$C$12:$H$12</definedName>
    <definedName name="заправка" localSheetId="1">Расчет!$C$18:$H$18</definedName>
    <definedName name="заправка">Инструкция!$C$13:$H$13</definedName>
  </definedNames>
  <calcPr calcId="145621"/>
</workbook>
</file>

<file path=xl/calcChain.xml><?xml version="1.0" encoding="utf-8"?>
<calcChain xmlns="http://schemas.openxmlformats.org/spreadsheetml/2006/main">
  <c r="H21" i="4" l="1"/>
  <c r="G21" i="4"/>
  <c r="F21" i="4"/>
  <c r="E21" i="4"/>
  <c r="D21" i="4"/>
  <c r="C21" i="4"/>
  <c r="C5" i="4"/>
  <c r="I22" i="4" l="1"/>
  <c r="I19" i="4"/>
  <c r="J22" i="4"/>
  <c r="H22" i="4"/>
  <c r="G22" i="4"/>
  <c r="F22" i="4"/>
  <c r="E22" i="4"/>
  <c r="D22" i="4"/>
  <c r="C22" i="4"/>
  <c r="C8" i="4"/>
  <c r="H50" i="4" l="1"/>
  <c r="G50" i="4"/>
  <c r="F50" i="4"/>
  <c r="E50" i="4"/>
  <c r="D50" i="4"/>
  <c r="C50" i="4"/>
  <c r="B50" i="4"/>
  <c r="H49" i="4"/>
  <c r="G49" i="4"/>
  <c r="F49" i="4"/>
  <c r="B49" i="4" s="1"/>
  <c r="E49" i="4"/>
  <c r="D49" i="4"/>
  <c r="C49" i="4"/>
  <c r="C48" i="4"/>
  <c r="G45" i="4"/>
  <c r="F45" i="4"/>
  <c r="E45" i="4"/>
  <c r="B45" i="4" s="1"/>
  <c r="D45" i="4"/>
  <c r="C45" i="4"/>
  <c r="G44" i="4"/>
  <c r="F44" i="4"/>
  <c r="E44" i="4"/>
  <c r="B44" i="4" s="1"/>
  <c r="D44" i="4"/>
  <c r="C44" i="4"/>
  <c r="C43" i="4"/>
  <c r="J19" i="4"/>
  <c r="H19" i="4"/>
  <c r="G19" i="4"/>
  <c r="F19" i="4"/>
  <c r="E19" i="4"/>
  <c r="D19" i="4"/>
  <c r="C19" i="4"/>
  <c r="C4" i="4" s="1"/>
  <c r="E4" i="4" s="1"/>
  <c r="C7" i="4"/>
  <c r="E7" i="4" s="1"/>
  <c r="C6" i="4"/>
  <c r="J21" i="4" l="1"/>
  <c r="I21" i="4"/>
  <c r="E8" i="4"/>
  <c r="E10" i="4" s="1"/>
  <c r="A11" i="4" s="1"/>
  <c r="E5" i="4"/>
  <c r="E6" i="4"/>
  <c r="I18" i="4"/>
  <c r="E18" i="4"/>
  <c r="H18" i="4"/>
  <c r="F18" i="4"/>
  <c r="D18" i="4"/>
  <c r="G18" i="4"/>
  <c r="C18" i="4"/>
  <c r="J18" i="4"/>
  <c r="E9" i="4" l="1"/>
</calcChain>
</file>

<file path=xl/sharedStrings.xml><?xml version="1.0" encoding="utf-8"?>
<sst xmlns="http://schemas.openxmlformats.org/spreadsheetml/2006/main" count="88" uniqueCount="73">
  <si>
    <t>диаметр трубы х Толщина стенки, мм</t>
  </si>
  <si>
    <t>9,52х0,81</t>
  </si>
  <si>
    <t>12,7х0,81</t>
  </si>
  <si>
    <t>15,88х1,02</t>
  </si>
  <si>
    <t>22,22х1,4</t>
  </si>
  <si>
    <t>Заправка одного метра трубы, кг</t>
  </si>
  <si>
    <t>Внутренний объем 1 м трубы, м куб</t>
  </si>
  <si>
    <t>Коэффициенты корректировки  по плотности</t>
  </si>
  <si>
    <t>Плотность в состоянии насыщения( конденсация)</t>
  </si>
  <si>
    <t>температура конденсации</t>
  </si>
  <si>
    <t xml:space="preserve">жидкость  </t>
  </si>
  <si>
    <t>пар</t>
  </si>
  <si>
    <t>Плотность в состоянии насыщения( кипение)</t>
  </si>
  <si>
    <t>Температура конденсации</t>
  </si>
  <si>
    <t>K1</t>
  </si>
  <si>
    <t>K2</t>
  </si>
  <si>
    <t>Температура кипения</t>
  </si>
  <si>
    <t>K3</t>
  </si>
  <si>
    <t>K4</t>
  </si>
  <si>
    <t>28,58х1,83</t>
  </si>
  <si>
    <t>34,92х2,03</t>
  </si>
  <si>
    <t>41,28х2,41</t>
  </si>
  <si>
    <t>Внутренний объем конденсатора, л</t>
  </si>
  <si>
    <t>Внутренний объем испарителя, л</t>
  </si>
  <si>
    <t>Диаметр жидкостного трубопровода хладагента, мм</t>
  </si>
  <si>
    <t>Температура конденсации хладагента R410A, ℃</t>
  </si>
  <si>
    <t>Температура кипения R410A,℃</t>
  </si>
  <si>
    <t>Внутренний объем ресивера, л</t>
  </si>
  <si>
    <t>Масса R410A, кг</t>
  </si>
  <si>
    <t>Диаметр газового трубопровода хладагента, мм</t>
  </si>
  <si>
    <t>19,05х1,14</t>
  </si>
  <si>
    <t>Итого заправка хладагента, кг</t>
  </si>
  <si>
    <t xml:space="preserve"> LSP-BXK….</t>
  </si>
  <si>
    <t>Внутренние объемы испарителей, л</t>
  </si>
  <si>
    <t>AS08 1E                  AS091E</t>
  </si>
  <si>
    <t>A012 1E  A014 1E</t>
  </si>
  <si>
    <t>Bs017 1E</t>
  </si>
  <si>
    <t>B018 1E  B020 1E</t>
  </si>
  <si>
    <t>B018 1E  B020 1E B022 1E B024 1E</t>
  </si>
  <si>
    <t>C029 1E  C032 1E</t>
  </si>
  <si>
    <t>D035 2E D039 2E D043 2E</t>
  </si>
  <si>
    <t>6,1 х 2</t>
  </si>
  <si>
    <t>8 х 2</t>
  </si>
  <si>
    <t>9,85 х 2</t>
  </si>
  <si>
    <t>E051 2E  E058 2E</t>
  </si>
  <si>
    <t>F061 2E</t>
  </si>
  <si>
    <t>Внутренние объемы конденсаторов, л</t>
  </si>
  <si>
    <t xml:space="preserve"> LUE-CTK.E</t>
  </si>
  <si>
    <t>0040D</t>
  </si>
  <si>
    <t>0050D</t>
  </si>
  <si>
    <t>0080D</t>
  </si>
  <si>
    <t>0100D</t>
  </si>
  <si>
    <t>0120D</t>
  </si>
  <si>
    <t>0150D</t>
  </si>
  <si>
    <t>0180D</t>
  </si>
  <si>
    <t>0220D</t>
  </si>
  <si>
    <t>0300D</t>
  </si>
  <si>
    <t>0350D</t>
  </si>
  <si>
    <t>0400D</t>
  </si>
  <si>
    <t>0450D</t>
  </si>
  <si>
    <t>Внутренний объем стандартного конденсатора (ST), л</t>
  </si>
  <si>
    <t>Внутренний объем низкошумного конденсатора  (LN), л</t>
  </si>
  <si>
    <t>Внутренние объемы  ресиверов, л</t>
  </si>
  <si>
    <t>AS08 1E                  AS091E A012 1E  A014 1E Bs017 1E</t>
  </si>
  <si>
    <t>B022 1E B024 1E C029 1E  C032 1E</t>
  </si>
  <si>
    <t xml:space="preserve">D035 2E D039 2E D043 2E </t>
  </si>
  <si>
    <t>11 х 2</t>
  </si>
  <si>
    <t>E051 2E  E058 2E  F061 2E</t>
  </si>
  <si>
    <t>17 х 2</t>
  </si>
  <si>
    <t>Внутренний объем ресивера*, л</t>
  </si>
  <si>
    <r>
      <t xml:space="preserve"> Вкладка "Расчет"   предназначена для расчета заправки хладагента R410A прецизионных кондиционеров. </t>
    </r>
    <r>
      <rPr>
        <sz val="11"/>
        <color rgb="FFFF0000"/>
        <rFont val="Calibri"/>
        <family val="2"/>
        <charset val="204"/>
        <scheme val="minor"/>
      </rPr>
      <t xml:space="preserve">  Для прецизионных кондиционеров, имеющих несколько фреоновых контуров расчет необходимо производить для каждого фреонового контура отдельно</t>
    </r>
    <r>
      <rPr>
        <sz val="11"/>
        <color theme="1"/>
        <rFont val="Calibri"/>
        <family val="2"/>
        <scheme val="minor"/>
      </rPr>
      <t xml:space="preserve">. Во вкладках расчета необходимо заполнять только серые ячейки.
Для расчета заправки системы хладагентом необходимо:
1) Из выпадающих списков выбрать: температуру конденсации хладагента*, температуру кипения хладагента*, диаметр жидкостного и газового фреонопровода.
2) Ввести значения: длины жидкостного фреонопровода; внутреннего объема испарителя**, внутреннего объема конденсатора** и внутреннего объема ресивера**
Примечания:
*Рекомендуется принимать температуру кипения хладагента  на 15-17 ℃ ниже, чем температура  воздуха на входе в кондиционер.
Температура конденсации хладагента определяется рассчетным режимом работы прецизионного кондиционера (задается в программе подбора).
**-см.  вкладку "Справка" в данном файле.   Для прецизионных кондиционеров, имеющих несколько фреоновых контуров расчет необходимо производить </t>
    </r>
    <r>
      <rPr>
        <sz val="11"/>
        <color rgb="FFFF0000"/>
        <rFont val="Calibri"/>
        <family val="2"/>
        <charset val="204"/>
        <scheme val="minor"/>
      </rPr>
      <t>ОТДЕЛЬНО ДЛЯ КАЖДОГО ФРЕОНОВОГО КОНТУРА</t>
    </r>
    <r>
      <rPr>
        <sz val="11"/>
        <color theme="1"/>
        <rFont val="Calibri"/>
        <family val="2"/>
        <scheme val="minor"/>
      </rPr>
      <t xml:space="preserve">. В Графы, выделенные серым цветом,  вводить значение для одного контура. </t>
    </r>
  </si>
  <si>
    <t>Длина, м</t>
  </si>
  <si>
    <t xml:space="preserve"> Необходимый объем ресивера для слива избытка хладагента летом ( с учетом заполнения не более 80%), 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</si>
</sst>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;;;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5" borderId="0" xfId="0" applyFill="1"/>
    <xf numFmtId="0" fontId="0" fillId="0" borderId="5" xfId="0" applyBorder="1" applyAlignment="1">
      <alignment wrapText="1"/>
    </xf>
    <xf numFmtId="0" fontId="0" fillId="5" borderId="0" xfId="0" applyFill="1" applyBorder="1"/>
    <xf numFmtId="0" fontId="1" fillId="5" borderId="0" xfId="0" applyFont="1" applyFill="1" applyBorder="1" applyAlignment="1">
      <alignment wrapText="1"/>
    </xf>
    <xf numFmtId="0" fontId="1" fillId="5" borderId="0" xfId="0" applyFont="1" applyFill="1" applyBorder="1"/>
    <xf numFmtId="0" fontId="1" fillId="5" borderId="0" xfId="0" applyFont="1" applyFill="1" applyBorder="1" applyAlignment="1">
      <alignment horizontal="center" wrapText="1"/>
    </xf>
    <xf numFmtId="164" fontId="1" fillId="5" borderId="0" xfId="0" applyNumberFormat="1" applyFont="1" applyFill="1" applyBorder="1"/>
    <xf numFmtId="165" fontId="1" fillId="5" borderId="0" xfId="0" applyNumberFormat="1" applyFont="1" applyFill="1" applyBorder="1"/>
    <xf numFmtId="0" fontId="0" fillId="4" borderId="1" xfId="0" applyFill="1" applyBorder="1" applyProtection="1">
      <protection locked="0"/>
    </xf>
    <xf numFmtId="0" fontId="0" fillId="5" borderId="0" xfId="0" applyFill="1" applyBorder="1" applyProtection="1">
      <protection locked="0"/>
    </xf>
    <xf numFmtId="164" fontId="0" fillId="5" borderId="0" xfId="0" applyNumberFormat="1" applyFill="1" applyBorder="1"/>
    <xf numFmtId="0" fontId="0" fillId="5" borderId="0" xfId="0" applyFill="1" applyBorder="1" applyAlignment="1">
      <alignment wrapText="1"/>
    </xf>
    <xf numFmtId="0" fontId="0" fillId="0" borderId="0" xfId="0"/>
    <xf numFmtId="0" fontId="5" fillId="3" borderId="10" xfId="0" applyFont="1" applyFill="1" applyBorder="1" applyAlignment="1">
      <alignment horizontal="left" vertical="center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3" borderId="5" xfId="0" applyFill="1" applyBorder="1"/>
    <xf numFmtId="0" fontId="0" fillId="3" borderId="1" xfId="0" applyFill="1" applyBorder="1"/>
    <xf numFmtId="0" fontId="6" fillId="0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2" fontId="8" fillId="5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5" fillId="5" borderId="0" xfId="0" applyFont="1" applyFill="1" applyBorder="1" applyAlignment="1">
      <alignment horizontal="left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center"/>
    </xf>
    <xf numFmtId="1" fontId="8" fillId="5" borderId="8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" fillId="0" borderId="0" xfId="0" applyFont="1"/>
    <xf numFmtId="164" fontId="0" fillId="0" borderId="6" xfId="0" applyNumberFormat="1" applyBorder="1" applyProtection="1">
      <protection hidden="1"/>
    </xf>
    <xf numFmtId="164" fontId="0" fillId="3" borderId="6" xfId="0" applyNumberFormat="1" applyFill="1" applyBorder="1" applyProtection="1">
      <protection hidden="1"/>
    </xf>
    <xf numFmtId="166" fontId="0" fillId="0" borderId="6" xfId="0" applyNumberFormat="1" applyBorder="1" applyProtection="1">
      <protection hidden="1"/>
    </xf>
    <xf numFmtId="0" fontId="0" fillId="0" borderId="1" xfId="0" applyBorder="1" applyProtection="1">
      <protection hidden="1"/>
    </xf>
    <xf numFmtId="164" fontId="1" fillId="0" borderId="1" xfId="0" applyNumberFormat="1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0" fillId="6" borderId="13" xfId="0" applyFill="1" applyBorder="1" applyAlignment="1"/>
    <xf numFmtId="0" fontId="0" fillId="5" borderId="0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tabSelected="1" workbookViewId="0">
      <selection sqref="A1:E2"/>
    </sheetView>
  </sheetViews>
  <sheetFormatPr defaultRowHeight="15" x14ac:dyDescent="0.25"/>
  <cols>
    <col min="1" max="1" width="54.28515625" customWidth="1"/>
    <col min="2" max="2" width="40.140625" customWidth="1"/>
    <col min="3" max="3" width="18.28515625" customWidth="1"/>
    <col min="4" max="4" width="30" customWidth="1"/>
    <col min="5" max="5" width="24.140625" customWidth="1"/>
    <col min="6" max="6" width="11" customWidth="1"/>
    <col min="7" max="7" width="15.5703125" customWidth="1"/>
    <col min="8" max="8" width="12.28515625" customWidth="1"/>
    <col min="9" max="9" width="10.5703125" customWidth="1"/>
    <col min="10" max="10" width="13.140625" customWidth="1"/>
    <col min="11" max="12" width="9.140625" customWidth="1"/>
    <col min="14" max="16" width="9.140625" customWidth="1"/>
  </cols>
  <sheetData>
    <row r="1" spans="1:24" ht="409.5" customHeight="1" x14ac:dyDescent="0.25">
      <c r="A1" s="56" t="s">
        <v>70</v>
      </c>
      <c r="B1" s="56"/>
      <c r="C1" s="56"/>
      <c r="D1" s="56"/>
      <c r="E1" s="56"/>
    </row>
    <row r="2" spans="1:24" ht="21.75" customHeight="1" x14ac:dyDescent="0.25">
      <c r="A2" s="56"/>
      <c r="B2" s="56"/>
      <c r="C2" s="56"/>
      <c r="D2" s="56"/>
      <c r="E2" s="56"/>
    </row>
    <row r="3" spans="1:24" x14ac:dyDescent="0.25">
      <c r="A3" s="10"/>
      <c r="B3" s="17"/>
      <c r="C3" s="10"/>
      <c r="D3" s="10"/>
      <c r="E3" s="10"/>
    </row>
    <row r="4" spans="1:24" x14ac:dyDescent="0.25">
      <c r="A4" s="10"/>
      <c r="B4" s="17"/>
      <c r="C4" s="18"/>
      <c r="D4" s="17"/>
      <c r="E4" s="18"/>
    </row>
    <row r="5" spans="1:24" x14ac:dyDescent="0.25">
      <c r="A5" s="10"/>
      <c r="B5" s="17"/>
      <c r="C5" s="10"/>
      <c r="D5" s="10"/>
      <c r="E5" s="18"/>
    </row>
    <row r="6" spans="1:24" x14ac:dyDescent="0.25">
      <c r="A6" s="10"/>
      <c r="B6" s="17"/>
      <c r="C6" s="10"/>
      <c r="D6" s="10"/>
      <c r="E6" s="18"/>
    </row>
    <row r="7" spans="1:24" x14ac:dyDescent="0.25">
      <c r="A7" s="10"/>
      <c r="B7" s="10"/>
      <c r="C7" s="10"/>
      <c r="D7" s="10"/>
      <c r="E7" s="18"/>
    </row>
    <row r="8" spans="1:24" x14ac:dyDescent="0.25">
      <c r="A8" s="19"/>
      <c r="B8" s="10"/>
      <c r="C8" s="10"/>
      <c r="D8" s="10"/>
      <c r="E8" s="18"/>
    </row>
    <row r="9" spans="1:24" x14ac:dyDescent="0.25">
      <c r="A9" s="10"/>
      <c r="B9" s="17"/>
      <c r="C9" s="10"/>
      <c r="D9" s="10"/>
      <c r="E9" s="18"/>
    </row>
    <row r="10" spans="1:24" x14ac:dyDescent="0.25">
      <c r="A10" s="10"/>
      <c r="B10" s="17"/>
      <c r="C10" s="10"/>
      <c r="D10" s="10"/>
      <c r="E10" s="18"/>
    </row>
    <row r="11" spans="1:24" s="2" customFormat="1" x14ac:dyDescent="0.25">
      <c r="A11" s="10"/>
      <c r="B11" s="10"/>
      <c r="C11" s="10"/>
      <c r="D11" s="10"/>
      <c r="E11" s="1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x14ac:dyDescent="0.25">
      <c r="A12" s="11"/>
      <c r="B12" s="11"/>
      <c r="C12" s="12"/>
      <c r="D12" s="12"/>
      <c r="E12" s="12"/>
      <c r="F12" s="12"/>
      <c r="G12" s="12"/>
      <c r="H12" s="12"/>
      <c r="I12" s="12"/>
      <c r="J12" s="12"/>
    </row>
    <row r="13" spans="1:24" x14ac:dyDescent="0.25">
      <c r="A13" s="13"/>
      <c r="B13" s="13"/>
      <c r="C13" s="14"/>
      <c r="D13" s="14"/>
      <c r="E13" s="14"/>
      <c r="F13" s="14"/>
      <c r="G13" s="14"/>
      <c r="H13" s="14"/>
      <c r="I13" s="14"/>
      <c r="J13" s="14"/>
    </row>
    <row r="14" spans="1:24" x14ac:dyDescent="0.25">
      <c r="A14" s="11"/>
      <c r="B14" s="11"/>
      <c r="C14" s="12"/>
      <c r="D14" s="12"/>
      <c r="E14" s="12"/>
      <c r="F14" s="12"/>
      <c r="G14" s="12"/>
      <c r="H14" s="12"/>
      <c r="I14" s="12"/>
      <c r="J14" s="12"/>
    </row>
    <row r="15" spans="1:24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24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2"/>
      <c r="B22" s="12"/>
      <c r="C22" s="12"/>
      <c r="D22" s="12"/>
      <c r="E22" s="12"/>
      <c r="F22" s="12"/>
      <c r="G22" s="14"/>
      <c r="H22" s="12"/>
      <c r="I22" s="12"/>
      <c r="J22" s="12"/>
    </row>
    <row r="23" spans="1:10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0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4"/>
    </row>
    <row r="30" spans="1:10" x14ac:dyDescent="0.25">
      <c r="A30" s="12"/>
      <c r="B30" s="12"/>
      <c r="C30" s="12"/>
      <c r="D30" s="12"/>
      <c r="E30" s="12"/>
      <c r="F30" s="12"/>
      <c r="G30" s="14"/>
      <c r="H30" s="12"/>
      <c r="I30" s="12"/>
      <c r="J30" s="12"/>
    </row>
    <row r="31" spans="1:10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 x14ac:dyDescent="0.25">
      <c r="A38" s="12"/>
      <c r="B38" s="12"/>
      <c r="C38" s="14"/>
      <c r="D38" s="12"/>
      <c r="E38" s="12"/>
      <c r="F38" s="12"/>
      <c r="G38" s="12"/>
      <c r="H38" s="12"/>
      <c r="I38" s="12"/>
      <c r="J38" s="12"/>
    </row>
    <row r="39" spans="1:10" x14ac:dyDescent="0.25">
      <c r="A39" s="12"/>
      <c r="B39" s="15"/>
      <c r="C39" s="14"/>
      <c r="D39" s="14"/>
      <c r="E39" s="14"/>
      <c r="F39" s="14"/>
      <c r="G39" s="14"/>
      <c r="H39" s="12"/>
      <c r="I39" s="12"/>
      <c r="J39" s="12"/>
    </row>
    <row r="40" spans="1:10" x14ac:dyDescent="0.25">
      <c r="A40" s="12"/>
      <c r="B40" s="14"/>
      <c r="C40" s="14"/>
      <c r="D40" s="14"/>
      <c r="E40" s="14"/>
      <c r="F40" s="14"/>
      <c r="G40" s="14"/>
      <c r="H40" s="12"/>
      <c r="I40" s="12"/>
      <c r="J40" s="12"/>
    </row>
    <row r="41" spans="1:10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 x14ac:dyDescent="0.25">
      <c r="A43" s="12"/>
      <c r="B43" s="12"/>
      <c r="C43" s="14"/>
      <c r="D43" s="12"/>
      <c r="E43" s="12"/>
      <c r="F43" s="12"/>
      <c r="G43" s="12"/>
      <c r="H43" s="12"/>
      <c r="I43" s="12"/>
      <c r="J43" s="12"/>
    </row>
    <row r="44" spans="1:10" x14ac:dyDescent="0.25">
      <c r="A44" s="12"/>
      <c r="B44" s="14"/>
      <c r="C44" s="14"/>
      <c r="D44" s="14"/>
      <c r="E44" s="14"/>
      <c r="F44" s="14"/>
      <c r="G44" s="14"/>
      <c r="H44" s="14"/>
      <c r="I44" s="12"/>
      <c r="J44" s="12"/>
    </row>
    <row r="45" spans="1:10" x14ac:dyDescent="0.25">
      <c r="A45" s="12"/>
      <c r="B45" s="14"/>
      <c r="C45" s="14"/>
      <c r="D45" s="14"/>
      <c r="E45" s="14"/>
      <c r="F45" s="14"/>
      <c r="G45" s="14"/>
      <c r="H45" s="14"/>
      <c r="I45" s="12"/>
      <c r="J45" s="12"/>
    </row>
    <row r="46" spans="1:10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</row>
  </sheetData>
  <sheetProtection password="A428" sheet="1" objects="1" scenarios="1"/>
  <mergeCells count="1">
    <mergeCell ref="A1:E2"/>
  </mergeCells>
  <dataValidations count="2">
    <dataValidation type="list" allowBlank="1" showInputMessage="1" showErrorMessage="1" sqref="B4">
      <formula1>$C$12:$J$12</formula1>
    </dataValidation>
    <dataValidation type="list" allowBlank="1" showInputMessage="1" showErrorMessage="1" sqref="B3">
      <formula1>$A$30:$A$35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E9" sqref="E9"/>
    </sheetView>
  </sheetViews>
  <sheetFormatPr defaultRowHeight="15" x14ac:dyDescent="0.25"/>
  <cols>
    <col min="1" max="1" width="55.140625" customWidth="1"/>
    <col min="2" max="2" width="10.140625" customWidth="1"/>
    <col min="3" max="3" width="0.5703125" hidden="1" customWidth="1"/>
    <col min="4" max="4" width="11.140625" customWidth="1"/>
    <col min="5" max="5" width="18" customWidth="1"/>
    <col min="6" max="6" width="11" customWidth="1"/>
    <col min="7" max="7" width="15.5703125" customWidth="1"/>
    <col min="8" max="8" width="12.28515625" customWidth="1"/>
    <col min="9" max="9" width="10.5703125" customWidth="1"/>
    <col min="10" max="10" width="13.140625" customWidth="1"/>
    <col min="11" max="12" width="9.140625" customWidth="1"/>
    <col min="14" max="16" width="9.140625" customWidth="1"/>
  </cols>
  <sheetData>
    <row r="1" spans="1:14" x14ac:dyDescent="0.25">
      <c r="A1" s="5"/>
      <c r="B1" s="6"/>
      <c r="C1" s="6"/>
      <c r="D1" s="6" t="s">
        <v>71</v>
      </c>
      <c r="E1" s="7" t="s">
        <v>28</v>
      </c>
    </row>
    <row r="2" spans="1:14" x14ac:dyDescent="0.25">
      <c r="A2" s="3" t="s">
        <v>25</v>
      </c>
      <c r="B2" s="22">
        <v>50</v>
      </c>
      <c r="C2" s="52"/>
      <c r="D2" s="1"/>
      <c r="E2" s="4"/>
    </row>
    <row r="3" spans="1:14" x14ac:dyDescent="0.25">
      <c r="A3" s="3" t="s">
        <v>26</v>
      </c>
      <c r="B3" s="22">
        <v>7</v>
      </c>
      <c r="C3" s="52"/>
      <c r="D3" s="1"/>
      <c r="E3" s="4"/>
    </row>
    <row r="4" spans="1:14" x14ac:dyDescent="0.25">
      <c r="A4" s="3" t="s">
        <v>24</v>
      </c>
      <c r="B4" s="22" t="s">
        <v>2</v>
      </c>
      <c r="C4" s="53">
        <f>LOOKUP(B4,C17:J17,C19:J19)</f>
        <v>9.6371624000000003E-5</v>
      </c>
      <c r="D4" s="16">
        <v>10</v>
      </c>
      <c r="E4" s="51">
        <f>C4*D4*1326</f>
        <v>1.2778877342399999</v>
      </c>
    </row>
    <row r="5" spans="1:14" s="20" customFormat="1" x14ac:dyDescent="0.25">
      <c r="A5" s="3" t="s">
        <v>29</v>
      </c>
      <c r="B5" s="22" t="s">
        <v>19</v>
      </c>
      <c r="C5" s="53">
        <f>LOOKUP(B5,C20:J20,C21:J21)</f>
        <v>6.7590491827600005E-2</v>
      </c>
      <c r="D5" s="16">
        <v>10</v>
      </c>
      <c r="E5" s="51">
        <f>C5*D5</f>
        <v>0.67590491827600008</v>
      </c>
    </row>
    <row r="6" spans="1:14" x14ac:dyDescent="0.25">
      <c r="A6" s="3" t="s">
        <v>23</v>
      </c>
      <c r="B6" s="22">
        <v>1.9</v>
      </c>
      <c r="C6" s="54">
        <f>B6/1000</f>
        <v>1.9E-3</v>
      </c>
      <c r="D6" s="1"/>
      <c r="E6" s="51">
        <f>0.5*C6*1146.9*B49+0.5*C6*38.3*B50</f>
        <v>1.1259399999999999</v>
      </c>
    </row>
    <row r="7" spans="1:14" x14ac:dyDescent="0.25">
      <c r="A7" s="3" t="s">
        <v>22</v>
      </c>
      <c r="B7" s="22">
        <v>2.5</v>
      </c>
      <c r="C7" s="54">
        <f>B7/1000</f>
        <v>2.5000000000000001E-3</v>
      </c>
      <c r="D7" s="1"/>
      <c r="E7" s="51">
        <f>1*C7*1326</f>
        <v>3.3149999999999999</v>
      </c>
    </row>
    <row r="8" spans="1:14" s="20" customFormat="1" x14ac:dyDescent="0.25">
      <c r="A8" s="3" t="s">
        <v>27</v>
      </c>
      <c r="B8" s="22">
        <v>7.1</v>
      </c>
      <c r="C8" s="54">
        <f>B8/1000</f>
        <v>7.0999999999999995E-3</v>
      </c>
      <c r="D8" s="1"/>
      <c r="E8" s="51">
        <f>0.2*C8*911.4*B44</f>
        <v>1.2941879999999999</v>
      </c>
    </row>
    <row r="9" spans="1:14" x14ac:dyDescent="0.25">
      <c r="A9" s="23" t="s">
        <v>31</v>
      </c>
      <c r="B9" s="24"/>
      <c r="C9" s="24"/>
      <c r="D9" s="24"/>
      <c r="E9" s="50">
        <f>E8+E7+E6+E5+E4</f>
        <v>7.6889206525159999</v>
      </c>
    </row>
    <row r="10" spans="1:14" ht="30" customHeight="1" x14ac:dyDescent="0.25">
      <c r="A10" s="9" t="s">
        <v>72</v>
      </c>
      <c r="B10" s="1"/>
      <c r="C10" s="1"/>
      <c r="D10" s="1"/>
      <c r="E10" s="49">
        <f>(1000*E7/911.4*B44-B7/2+1000*E4/911.4*B44-1000*C4*D4+1000*E8/911.4*B44)*1.25</f>
        <v>5.3070753142198814</v>
      </c>
    </row>
    <row r="11" spans="1:14" x14ac:dyDescent="0.25">
      <c r="A11" s="55" t="str">
        <f>IF(E10&gt;B8, "Требуемый объем ресивера больше установленного!!! Обратитесь в службу технической поддержки", "Расчет корректен")</f>
        <v>Расчет корректен</v>
      </c>
      <c r="B11" s="55"/>
      <c r="C11" s="55"/>
      <c r="D11" s="55"/>
      <c r="E11" s="55"/>
      <c r="F11" s="20"/>
    </row>
    <row r="12" spans="1:14" x14ac:dyDescent="0.2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1:14" x14ac:dyDescent="0.2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</row>
    <row r="14" spans="1:14" x14ac:dyDescent="0.2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</row>
    <row r="15" spans="1:14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</row>
    <row r="16" spans="1:14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7"/>
      <c r="L16" s="47"/>
      <c r="M16" s="47"/>
      <c r="N16" s="46"/>
    </row>
    <row r="17" spans="1:14" x14ac:dyDescent="0.25">
      <c r="A17" s="11" t="s">
        <v>0</v>
      </c>
      <c r="B17" s="11"/>
      <c r="C17" s="12" t="s">
        <v>2</v>
      </c>
      <c r="D17" s="12" t="s">
        <v>3</v>
      </c>
      <c r="E17" s="12" t="s">
        <v>4</v>
      </c>
      <c r="F17" s="12" t="s">
        <v>19</v>
      </c>
      <c r="G17" s="12" t="s">
        <v>20</v>
      </c>
      <c r="H17" s="12" t="s">
        <v>21</v>
      </c>
      <c r="I17" s="12" t="s">
        <v>30</v>
      </c>
      <c r="J17" s="12" t="s">
        <v>1</v>
      </c>
      <c r="K17" s="47"/>
      <c r="L17" s="47"/>
      <c r="M17" s="47"/>
      <c r="N17" s="46"/>
    </row>
    <row r="18" spans="1:14" x14ac:dyDescent="0.25">
      <c r="A18" s="13" t="s">
        <v>5</v>
      </c>
      <c r="B18" s="13"/>
      <c r="C18" s="14">
        <f>C19*911.4*B44</f>
        <v>8.7833098113600003E-2</v>
      </c>
      <c r="D18" s="14">
        <f>D19*911.4*B44</f>
        <v>0.13707081341688002</v>
      </c>
      <c r="E18" s="14">
        <f>E19*911.4*B44</f>
        <v>0.2698218602436</v>
      </c>
      <c r="F18" s="14">
        <f>F19*911.4*B44</f>
        <v>0.44429840787360003</v>
      </c>
      <c r="G18" s="14">
        <f>G19*911.4*B44</f>
        <v>0.68135041448040001</v>
      </c>
      <c r="H18" s="14">
        <f>H19*911.4*B44</f>
        <v>0.95106896388840001</v>
      </c>
      <c r="I18" s="14">
        <f>I19*911.4*B44</f>
        <v>0.20120779707210001</v>
      </c>
      <c r="J18" s="14">
        <f>J19*911.4*B44</f>
        <v>4.4651172090000017E-2</v>
      </c>
      <c r="K18" s="47"/>
      <c r="L18" s="47"/>
      <c r="M18" s="47"/>
      <c r="N18" s="46"/>
    </row>
    <row r="19" spans="1:14" x14ac:dyDescent="0.25">
      <c r="A19" s="11" t="s">
        <v>6</v>
      </c>
      <c r="B19" s="11"/>
      <c r="C19" s="12">
        <f>(3.14*0.01108*0.01108)/4</f>
        <v>9.6371624000000003E-5</v>
      </c>
      <c r="D19" s="12">
        <f>(3.14*0.013843*0.01384)/4</f>
        <v>1.5039588920000001E-4</v>
      </c>
      <c r="E19" s="12">
        <f>(3.14*0.01942*0.01942)/4</f>
        <v>2.9605207400000002E-4</v>
      </c>
      <c r="F19" s="12">
        <f>(3.14*0.02492*0.02492)/4</f>
        <v>4.8749002400000005E-4</v>
      </c>
      <c r="G19" s="12">
        <f>(3.14*0.03086*0.03086)/4</f>
        <v>7.47586586E-4</v>
      </c>
      <c r="H19" s="12">
        <f>(3.14*0.03646*0.03646)/4</f>
        <v>1.0435253060000001E-3</v>
      </c>
      <c r="I19" s="12">
        <f>(3.14*0.01677*0.01677)/4</f>
        <v>2.2076782650000003E-4</v>
      </c>
      <c r="J19" s="12">
        <f>(3.14*0.0079*0.0079)/4</f>
        <v>4.8991850000000018E-5</v>
      </c>
      <c r="K19" s="47"/>
      <c r="L19" s="47"/>
      <c r="M19" s="47"/>
      <c r="N19" s="46"/>
    </row>
    <row r="20" spans="1:14" x14ac:dyDescent="0.25">
      <c r="A20" s="12"/>
      <c r="B20" s="12"/>
      <c r="C20" s="12" t="s">
        <v>2</v>
      </c>
      <c r="D20" s="12" t="s">
        <v>3</v>
      </c>
      <c r="E20" s="12" t="s">
        <v>4</v>
      </c>
      <c r="F20" s="12" t="s">
        <v>19</v>
      </c>
      <c r="G20" s="12" t="s">
        <v>20</v>
      </c>
      <c r="H20" s="12" t="s">
        <v>21</v>
      </c>
      <c r="I20" s="12" t="s">
        <v>30</v>
      </c>
      <c r="J20" s="12" t="s">
        <v>1</v>
      </c>
      <c r="K20" s="47"/>
      <c r="L20" s="47"/>
      <c r="M20" s="47"/>
      <c r="N20" s="46"/>
    </row>
    <row r="21" spans="1:14" x14ac:dyDescent="0.25">
      <c r="A21" s="12"/>
      <c r="B21" s="12"/>
      <c r="C21" s="14">
        <f>C22*138.65*B45</f>
        <v>1.3361925667600002E-2</v>
      </c>
      <c r="D21" s="14">
        <f>D22*138.65*B45</f>
        <v>2.0852390037580004E-2</v>
      </c>
      <c r="E21" s="14">
        <f>E22*138.65*B45</f>
        <v>4.1047620060100001E-2</v>
      </c>
      <c r="F21" s="14">
        <f>F22*138.65*B45</f>
        <v>6.7590491827600005E-2</v>
      </c>
      <c r="G21" s="14">
        <f>G22*138.65*B45</f>
        <v>0.10365288014890001</v>
      </c>
      <c r="H21" s="14">
        <f>H22*138.65*B45</f>
        <v>0.14468478367690002</v>
      </c>
      <c r="I21" s="14">
        <f>I22*138.65*B44</f>
        <v>3.0609459144225006E-2</v>
      </c>
      <c r="J21" s="14">
        <f>J22*138.65*B44</f>
        <v>6.7927200025000032E-3</v>
      </c>
      <c r="K21" s="47"/>
      <c r="L21" s="47"/>
      <c r="M21" s="47"/>
      <c r="N21" s="46"/>
    </row>
    <row r="22" spans="1:14" x14ac:dyDescent="0.25">
      <c r="A22" s="12" t="s">
        <v>7</v>
      </c>
      <c r="B22" s="12"/>
      <c r="C22" s="12">
        <f>(3.14*0.01108*0.01108)/4</f>
        <v>9.6371624000000003E-5</v>
      </c>
      <c r="D22" s="12">
        <f>(3.14*0.013843*0.01384)/4</f>
        <v>1.5039588920000001E-4</v>
      </c>
      <c r="E22" s="12">
        <f>(3.14*0.01942*0.01942)/4</f>
        <v>2.9605207400000002E-4</v>
      </c>
      <c r="F22" s="12">
        <f>(3.14*0.02492*0.02492)/4</f>
        <v>4.8749002400000005E-4</v>
      </c>
      <c r="G22" s="12">
        <f>(3.14*0.03086*0.03086)/4</f>
        <v>7.47586586E-4</v>
      </c>
      <c r="H22" s="12">
        <f>(3.14*0.03646*0.03646)/4</f>
        <v>1.0435253060000001E-3</v>
      </c>
      <c r="I22" s="12">
        <f>(3.14*0.01677*0.01677)/4</f>
        <v>2.2076782650000003E-4</v>
      </c>
      <c r="J22" s="12">
        <f>(3.14*0.0079*0.0079)/4</f>
        <v>4.8991850000000018E-5</v>
      </c>
      <c r="K22" s="47"/>
      <c r="L22" s="47"/>
      <c r="M22" s="47"/>
      <c r="N22" s="46"/>
    </row>
    <row r="23" spans="1:14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47"/>
      <c r="L23" s="47"/>
      <c r="M23" s="47"/>
      <c r="N23" s="46"/>
    </row>
    <row r="24" spans="1:14" x14ac:dyDescent="0.25">
      <c r="A24" s="12" t="s">
        <v>8</v>
      </c>
      <c r="B24" s="12"/>
      <c r="C24" s="12" t="s">
        <v>10</v>
      </c>
      <c r="D24" s="12"/>
      <c r="E24" s="12"/>
      <c r="F24" s="12"/>
      <c r="G24" s="12"/>
      <c r="H24" s="12"/>
      <c r="I24" s="12"/>
      <c r="J24" s="12"/>
      <c r="K24" s="47"/>
      <c r="L24" s="47"/>
      <c r="M24" s="47"/>
      <c r="N24" s="46"/>
    </row>
    <row r="25" spans="1:14" x14ac:dyDescent="0.25">
      <c r="A25" s="12" t="s">
        <v>9</v>
      </c>
      <c r="B25" s="12"/>
      <c r="C25" s="12">
        <v>978.9</v>
      </c>
      <c r="D25" s="12" t="s">
        <v>11</v>
      </c>
      <c r="E25" s="12"/>
      <c r="F25" s="12"/>
      <c r="G25" s="12"/>
      <c r="H25" s="12"/>
      <c r="I25" s="12"/>
      <c r="J25" s="12"/>
      <c r="K25" s="47"/>
      <c r="L25" s="47"/>
      <c r="M25" s="47"/>
      <c r="N25" s="46"/>
    </row>
    <row r="26" spans="1:14" x14ac:dyDescent="0.25">
      <c r="A26" s="12">
        <v>40</v>
      </c>
      <c r="B26" s="12"/>
      <c r="C26" s="12">
        <v>946.8</v>
      </c>
      <c r="D26" s="12">
        <v>102.58499999999999</v>
      </c>
      <c r="E26" s="12"/>
      <c r="F26" s="12"/>
      <c r="G26" s="12"/>
      <c r="H26" s="12"/>
      <c r="I26" s="12"/>
      <c r="J26" s="12"/>
      <c r="K26" s="47"/>
      <c r="L26" s="47"/>
      <c r="M26" s="47"/>
      <c r="N26" s="46"/>
    </row>
    <row r="27" spans="1:14" x14ac:dyDescent="0.25">
      <c r="A27" s="12">
        <v>45</v>
      </c>
      <c r="B27" s="12"/>
      <c r="C27" s="12">
        <v>911.4</v>
      </c>
      <c r="D27" s="12">
        <v>119.08499999999999</v>
      </c>
      <c r="E27" s="12"/>
      <c r="F27" s="12"/>
      <c r="G27" s="14"/>
      <c r="H27" s="12"/>
      <c r="I27" s="12"/>
      <c r="J27" s="12"/>
      <c r="K27" s="47"/>
      <c r="L27" s="47"/>
      <c r="M27" s="47"/>
      <c r="N27" s="46"/>
    </row>
    <row r="28" spans="1:14" x14ac:dyDescent="0.25">
      <c r="A28" s="12">
        <v>50</v>
      </c>
      <c r="B28" s="12"/>
      <c r="C28" s="12">
        <v>871.5</v>
      </c>
      <c r="D28" s="12">
        <v>138.65</v>
      </c>
      <c r="E28" s="12"/>
      <c r="F28" s="12"/>
      <c r="G28" s="12"/>
      <c r="H28" s="12"/>
      <c r="I28" s="12"/>
      <c r="J28" s="12"/>
      <c r="K28" s="47"/>
      <c r="L28" s="47"/>
      <c r="M28" s="47"/>
      <c r="N28" s="46"/>
    </row>
    <row r="29" spans="1:14" x14ac:dyDescent="0.25">
      <c r="A29" s="12">
        <v>55</v>
      </c>
      <c r="B29" s="12"/>
      <c r="C29" s="12">
        <v>824.7</v>
      </c>
      <c r="D29" s="12">
        <v>162.25</v>
      </c>
      <c r="E29" s="12"/>
      <c r="F29" s="12"/>
      <c r="G29" s="12"/>
      <c r="H29" s="12"/>
      <c r="I29" s="12"/>
      <c r="J29" s="12"/>
      <c r="K29" s="47"/>
      <c r="L29" s="47"/>
      <c r="M29" s="47"/>
      <c r="N29" s="46"/>
    </row>
    <row r="30" spans="1:14" x14ac:dyDescent="0.25">
      <c r="A30" s="12">
        <v>60</v>
      </c>
      <c r="B30" s="12"/>
      <c r="C30" s="12"/>
      <c r="D30" s="12">
        <v>191.75700000000001</v>
      </c>
      <c r="E30" s="12"/>
      <c r="F30" s="12"/>
      <c r="G30" s="12"/>
      <c r="H30" s="12"/>
      <c r="I30" s="12"/>
      <c r="J30" s="12"/>
      <c r="K30" s="47"/>
      <c r="L30" s="47"/>
      <c r="M30" s="47"/>
      <c r="N30" s="46"/>
    </row>
    <row r="31" spans="1:14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47"/>
      <c r="L31" s="47"/>
      <c r="M31" s="47"/>
      <c r="N31" s="46"/>
    </row>
    <row r="32" spans="1:14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47"/>
      <c r="L32" s="47"/>
      <c r="M32" s="47"/>
      <c r="N32" s="46"/>
    </row>
    <row r="33" spans="1:14" x14ac:dyDescent="0.25">
      <c r="A33" s="12" t="s">
        <v>12</v>
      </c>
      <c r="B33" s="12"/>
      <c r="C33" s="12" t="s">
        <v>10</v>
      </c>
      <c r="D33" s="12"/>
      <c r="E33" s="12"/>
      <c r="F33" s="12"/>
      <c r="G33" s="12"/>
      <c r="H33" s="12"/>
      <c r="I33" s="12"/>
      <c r="J33" s="12"/>
      <c r="K33" s="47"/>
      <c r="L33" s="47"/>
      <c r="M33" s="47"/>
      <c r="N33" s="46"/>
    </row>
    <row r="34" spans="1:14" x14ac:dyDescent="0.25">
      <c r="A34" s="12" t="s">
        <v>9</v>
      </c>
      <c r="B34" s="12"/>
      <c r="C34" s="12">
        <v>1168.3</v>
      </c>
      <c r="D34" s="12" t="s">
        <v>11</v>
      </c>
      <c r="E34" s="12"/>
      <c r="F34" s="12"/>
      <c r="G34" s="12"/>
      <c r="H34" s="12"/>
      <c r="I34" s="12"/>
      <c r="J34" s="14"/>
      <c r="K34" s="47"/>
      <c r="L34" s="47"/>
      <c r="M34" s="47"/>
      <c r="N34" s="46"/>
    </row>
    <row r="35" spans="1:14" x14ac:dyDescent="0.25">
      <c r="A35" s="12">
        <v>2</v>
      </c>
      <c r="B35" s="12"/>
      <c r="C35" s="12">
        <v>1159.8</v>
      </c>
      <c r="D35" s="12">
        <v>32.67</v>
      </c>
      <c r="E35" s="12"/>
      <c r="F35" s="12"/>
      <c r="G35" s="14"/>
      <c r="H35" s="12"/>
      <c r="I35" s="12"/>
      <c r="J35" s="12"/>
      <c r="K35" s="47"/>
      <c r="L35" s="47"/>
      <c r="M35" s="47"/>
      <c r="N35" s="46"/>
    </row>
    <row r="36" spans="1:14" x14ac:dyDescent="0.25">
      <c r="A36" s="12">
        <v>4</v>
      </c>
      <c r="B36" s="12"/>
      <c r="C36" s="12">
        <v>1155.5</v>
      </c>
      <c r="D36" s="12">
        <v>34.82</v>
      </c>
      <c r="E36" s="12"/>
      <c r="F36" s="12"/>
      <c r="G36" s="12"/>
      <c r="H36" s="12"/>
      <c r="I36" s="12"/>
      <c r="J36" s="12"/>
      <c r="K36" s="47"/>
      <c r="L36" s="47"/>
      <c r="M36" s="47"/>
      <c r="N36" s="46"/>
    </row>
    <row r="37" spans="1:14" x14ac:dyDescent="0.25">
      <c r="A37" s="12">
        <v>5</v>
      </c>
      <c r="B37" s="12"/>
      <c r="C37" s="12">
        <v>1146.9000000000001</v>
      </c>
      <c r="D37" s="12">
        <v>35.93</v>
      </c>
      <c r="E37" s="12"/>
      <c r="F37" s="12"/>
      <c r="G37" s="12"/>
      <c r="H37" s="12"/>
      <c r="I37" s="12"/>
      <c r="J37" s="12"/>
      <c r="K37" s="47"/>
      <c r="L37" s="47"/>
      <c r="M37" s="47"/>
      <c r="N37" s="46"/>
    </row>
    <row r="38" spans="1:14" x14ac:dyDescent="0.25">
      <c r="A38" s="12">
        <v>7</v>
      </c>
      <c r="B38" s="12"/>
      <c r="C38" s="12">
        <v>1142.5</v>
      </c>
      <c r="D38" s="12">
        <v>38.25</v>
      </c>
      <c r="E38" s="12"/>
      <c r="F38" s="12"/>
      <c r="G38" s="12"/>
      <c r="H38" s="12"/>
      <c r="I38" s="12"/>
      <c r="J38" s="12"/>
      <c r="K38" s="47"/>
      <c r="L38" s="47"/>
      <c r="M38" s="47"/>
      <c r="N38" s="46"/>
    </row>
    <row r="39" spans="1:14" x14ac:dyDescent="0.25">
      <c r="A39" s="12">
        <v>8</v>
      </c>
      <c r="B39" s="12"/>
      <c r="C39" s="12">
        <v>1133.7</v>
      </c>
      <c r="D39" s="12">
        <v>39.46</v>
      </c>
      <c r="E39" s="12"/>
      <c r="F39" s="12"/>
      <c r="G39" s="12"/>
      <c r="H39" s="12"/>
      <c r="I39" s="12"/>
      <c r="J39" s="12"/>
      <c r="K39" s="47"/>
      <c r="L39" s="47"/>
      <c r="M39" s="47"/>
      <c r="N39" s="46"/>
    </row>
    <row r="40" spans="1:14" x14ac:dyDescent="0.25">
      <c r="A40" s="12">
        <v>10</v>
      </c>
      <c r="B40" s="12"/>
      <c r="C40" s="12"/>
      <c r="D40" s="12">
        <v>41.98</v>
      </c>
      <c r="E40" s="12"/>
      <c r="F40" s="12"/>
      <c r="G40" s="12"/>
      <c r="H40" s="12"/>
      <c r="I40" s="12"/>
      <c r="J40" s="12"/>
      <c r="K40" s="47"/>
      <c r="L40" s="47"/>
      <c r="M40" s="47"/>
      <c r="N40" s="46"/>
    </row>
    <row r="41" spans="1:14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47"/>
      <c r="L41" s="47"/>
      <c r="M41" s="47"/>
      <c r="N41" s="46"/>
    </row>
    <row r="42" spans="1:14" x14ac:dyDescent="0.25">
      <c r="A42" s="12"/>
      <c r="B42" s="12"/>
      <c r="C42" s="12">
        <v>40</v>
      </c>
      <c r="D42" s="12"/>
      <c r="E42" s="12"/>
      <c r="F42" s="12"/>
      <c r="G42" s="12"/>
      <c r="H42" s="12"/>
      <c r="I42" s="12"/>
      <c r="J42" s="12"/>
      <c r="K42" s="47"/>
      <c r="L42" s="47"/>
      <c r="M42" s="47"/>
      <c r="N42" s="46"/>
    </row>
    <row r="43" spans="1:14" x14ac:dyDescent="0.25">
      <c r="A43" s="12" t="s">
        <v>13</v>
      </c>
      <c r="B43" s="12"/>
      <c r="C43" s="14">
        <f>C25/C27</f>
        <v>1.0740618828176431</v>
      </c>
      <c r="D43" s="12">
        <v>45</v>
      </c>
      <c r="E43" s="12">
        <v>50</v>
      </c>
      <c r="F43" s="12">
        <v>55</v>
      </c>
      <c r="G43" s="12">
        <v>60</v>
      </c>
      <c r="H43" s="12"/>
      <c r="I43" s="12"/>
      <c r="J43" s="12"/>
      <c r="K43" s="47"/>
      <c r="L43" s="47"/>
      <c r="M43" s="47"/>
      <c r="N43" s="46"/>
    </row>
    <row r="44" spans="1:14" x14ac:dyDescent="0.25">
      <c r="A44" s="12" t="s">
        <v>14</v>
      </c>
      <c r="B44" s="15">
        <f>LOOKUP(B2,A26:A30,C44:G44)</f>
        <v>1</v>
      </c>
      <c r="C44" s="14">
        <f>C25/C27</f>
        <v>1.0740618828176431</v>
      </c>
      <c r="D44" s="14">
        <f>C26/C27</f>
        <v>1.0388413429888084</v>
      </c>
      <c r="E44" s="14">
        <f>C27/C27</f>
        <v>1</v>
      </c>
      <c r="F44" s="14">
        <f>C28/C27</f>
        <v>0.95622119815668205</v>
      </c>
      <c r="G44" s="14">
        <f>C29/C27</f>
        <v>0.90487162606978278</v>
      </c>
      <c r="H44" s="12"/>
      <c r="I44" s="12"/>
      <c r="J44" s="12"/>
      <c r="K44" s="47"/>
      <c r="L44" s="47"/>
      <c r="M44" s="47"/>
      <c r="N44" s="46"/>
    </row>
    <row r="45" spans="1:14" x14ac:dyDescent="0.25">
      <c r="A45" s="12" t="s">
        <v>15</v>
      </c>
      <c r="B45" s="14">
        <f>LOOKUP(B2,A26:A30,C45:G45)</f>
        <v>1</v>
      </c>
      <c r="C45" s="14">
        <f>D26/D28</f>
        <v>0.739884601514605</v>
      </c>
      <c r="D45" s="14">
        <f>D27/D28</f>
        <v>0.8588892895780742</v>
      </c>
      <c r="E45" s="14">
        <f>D28/D28</f>
        <v>1</v>
      </c>
      <c r="F45" s="14">
        <f>D29/D28</f>
        <v>1.1702127659574468</v>
      </c>
      <c r="G45" s="14">
        <f>D30/D28</f>
        <v>1.3830292102416155</v>
      </c>
      <c r="H45" s="12"/>
      <c r="I45" s="12"/>
      <c r="J45" s="12"/>
      <c r="K45" s="47"/>
      <c r="L45" s="47"/>
      <c r="M45" s="47"/>
      <c r="N45" s="46"/>
    </row>
    <row r="46" spans="1:14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47"/>
      <c r="L46" s="47"/>
      <c r="M46" s="47"/>
      <c r="N46" s="46"/>
    </row>
    <row r="47" spans="1:14" x14ac:dyDescent="0.25">
      <c r="A47" s="12"/>
      <c r="B47" s="12"/>
      <c r="C47" s="12">
        <v>2</v>
      </c>
      <c r="D47" s="12"/>
      <c r="E47" s="12"/>
      <c r="F47" s="12"/>
      <c r="G47" s="12"/>
      <c r="H47" s="12"/>
      <c r="I47" s="12"/>
      <c r="J47" s="12"/>
      <c r="K47" s="47"/>
      <c r="L47" s="47"/>
      <c r="M47" s="47"/>
      <c r="N47" s="46"/>
    </row>
    <row r="48" spans="1:14" x14ac:dyDescent="0.25">
      <c r="A48" s="12" t="s">
        <v>16</v>
      </c>
      <c r="B48" s="12"/>
      <c r="C48" s="14">
        <f>C34/C37</f>
        <v>1.0186589938093991</v>
      </c>
      <c r="D48" s="12">
        <v>4</v>
      </c>
      <c r="E48" s="12">
        <v>5</v>
      </c>
      <c r="F48" s="12">
        <v>7</v>
      </c>
      <c r="G48" s="12">
        <v>8</v>
      </c>
      <c r="H48" s="12">
        <v>10</v>
      </c>
      <c r="I48" s="12"/>
      <c r="J48" s="12"/>
      <c r="K48" s="47"/>
      <c r="L48" s="47"/>
      <c r="M48" s="47"/>
      <c r="N48" s="46"/>
    </row>
    <row r="49" spans="1:14" x14ac:dyDescent="0.25">
      <c r="A49" s="12" t="s">
        <v>17</v>
      </c>
      <c r="B49" s="14">
        <f>LOOKUP(B3,A35:A40,C49:H49)</f>
        <v>1</v>
      </c>
      <c r="C49" s="14">
        <f>C34/C37</f>
        <v>1.0186589938093991</v>
      </c>
      <c r="D49" s="14">
        <f>C35/C37</f>
        <v>1.0112477112215537</v>
      </c>
      <c r="E49" s="14">
        <f>C36/C37</f>
        <v>1.0074984741477024</v>
      </c>
      <c r="F49" s="14">
        <f>C37/C37</f>
        <v>1</v>
      </c>
      <c r="G49" s="14">
        <f>C38/C37</f>
        <v>0.99616357136629163</v>
      </c>
      <c r="H49" s="14">
        <f>C39/C37</f>
        <v>0.98849071409887523</v>
      </c>
      <c r="I49" s="12"/>
      <c r="J49" s="12"/>
      <c r="K49" s="47"/>
      <c r="L49" s="47"/>
      <c r="M49" s="47"/>
      <c r="N49" s="46"/>
    </row>
    <row r="50" spans="1:14" x14ac:dyDescent="0.25">
      <c r="A50" s="12" t="s">
        <v>18</v>
      </c>
      <c r="B50" s="14">
        <f>LOOKUP(B3,A35:A40,C50:H50)</f>
        <v>1</v>
      </c>
      <c r="C50" s="14">
        <f>D35/D38</f>
        <v>0.85411764705882354</v>
      </c>
      <c r="D50" s="14">
        <f>D36/D38</f>
        <v>0.91032679738562094</v>
      </c>
      <c r="E50" s="14">
        <f>D37/D38</f>
        <v>0.93934640522875812</v>
      </c>
      <c r="F50" s="14">
        <f>D38/D38</f>
        <v>1</v>
      </c>
      <c r="G50" s="14">
        <f>D39/D38</f>
        <v>1.0316339869281046</v>
      </c>
      <c r="H50" s="14">
        <f>D40/D38</f>
        <v>1.0975163398692809</v>
      </c>
      <c r="I50" s="12"/>
      <c r="J50" s="12"/>
      <c r="K50" s="47"/>
      <c r="L50" s="47"/>
      <c r="M50" s="47"/>
      <c r="N50" s="46"/>
    </row>
    <row r="51" spans="1:14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47"/>
      <c r="L51" s="47"/>
      <c r="M51" s="47"/>
      <c r="N51" s="46"/>
    </row>
    <row r="52" spans="1:14" x14ac:dyDescent="0.2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7"/>
      <c r="L52" s="47"/>
      <c r="M52" s="47"/>
      <c r="N52" s="46"/>
    </row>
    <row r="53" spans="1:14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7"/>
      <c r="L53" s="47"/>
      <c r="M53" s="47"/>
      <c r="N53" s="46"/>
    </row>
    <row r="54" spans="1:14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7"/>
      <c r="L54" s="47"/>
      <c r="M54" s="47"/>
      <c r="N54" s="46"/>
    </row>
    <row r="55" spans="1:14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7"/>
      <c r="L55" s="47"/>
      <c r="M55" s="47"/>
    </row>
    <row r="56" spans="1:14" x14ac:dyDescent="0.2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7"/>
      <c r="L56" s="47"/>
      <c r="M56" s="47"/>
    </row>
    <row r="57" spans="1:14" x14ac:dyDescent="0.2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7"/>
      <c r="L57" s="47"/>
      <c r="M57" s="47"/>
    </row>
    <row r="58" spans="1:14" x14ac:dyDescent="0.25">
      <c r="A58" s="47"/>
      <c r="B58" s="47"/>
      <c r="C58" s="47"/>
      <c r="D58" s="47"/>
      <c r="E58" s="47"/>
      <c r="F58" s="47"/>
      <c r="G58" s="47"/>
      <c r="H58" s="47"/>
    </row>
  </sheetData>
  <sheetProtection password="E029" sheet="1" objects="1" scenarios="1" formatCells="0" formatColumns="0" formatRows="0" insertColumns="0" insertRows="0" insertHyperlinks="0" deleteColumns="0" deleteRows="0" sort="0" autoFilter="0" pivotTables="0"/>
  <dataValidations count="3">
    <dataValidation type="list" allowBlank="1" showInputMessage="1" showErrorMessage="1" sqref="B3">
      <formula1>$A$35:$A$40</formula1>
    </dataValidation>
    <dataValidation type="list" allowBlank="1" showInputMessage="1" showErrorMessage="1" sqref="B2">
      <formula1>$A$26:$A$30</formula1>
    </dataValidation>
    <dataValidation type="list" allowBlank="1" showInputMessage="1" showErrorMessage="1" sqref="B4:B5">
      <formula1>$C$17:$J$17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C7" sqref="C7"/>
    </sheetView>
  </sheetViews>
  <sheetFormatPr defaultRowHeight="15" x14ac:dyDescent="0.25"/>
  <cols>
    <col min="1" max="1" width="53.5703125" customWidth="1"/>
    <col min="2" max="2" width="12" style="20" customWidth="1"/>
    <col min="3" max="3" width="10.28515625" customWidth="1"/>
    <col min="4" max="4" width="11.7109375" customWidth="1"/>
    <col min="5" max="5" width="10.85546875" customWidth="1"/>
    <col min="6" max="6" width="10.28515625" customWidth="1"/>
    <col min="7" max="7" width="10.140625" customWidth="1"/>
    <col min="8" max="9" width="10" customWidth="1"/>
  </cols>
  <sheetData>
    <row r="1" spans="1:15" s="20" customFormat="1" ht="16.5" thickBot="1" x14ac:dyDescent="0.3">
      <c r="A1" s="58" t="s">
        <v>33</v>
      </c>
      <c r="B1" s="58"/>
      <c r="C1" s="58"/>
      <c r="D1" s="58"/>
      <c r="E1" s="58"/>
      <c r="F1" s="58"/>
      <c r="G1" s="58"/>
      <c r="H1" s="58"/>
      <c r="I1" s="58"/>
    </row>
    <row r="2" spans="1:15" ht="65.25" customHeight="1" x14ac:dyDescent="0.25">
      <c r="A2" s="26" t="s">
        <v>32</v>
      </c>
      <c r="B2" s="21" t="s">
        <v>34</v>
      </c>
      <c r="C2" s="21" t="s">
        <v>35</v>
      </c>
      <c r="D2" s="21" t="s">
        <v>36</v>
      </c>
      <c r="E2" s="21" t="s">
        <v>38</v>
      </c>
      <c r="F2" s="21" t="s">
        <v>39</v>
      </c>
      <c r="G2" s="21" t="s">
        <v>40</v>
      </c>
      <c r="H2" s="21" t="s">
        <v>44</v>
      </c>
      <c r="I2" s="21" t="s">
        <v>45</v>
      </c>
    </row>
    <row r="3" spans="1:15" ht="15.75" thickBot="1" x14ac:dyDescent="0.3">
      <c r="A3" s="27" t="s">
        <v>23</v>
      </c>
      <c r="B3" s="31">
        <v>1.9</v>
      </c>
      <c r="C3" s="32">
        <v>3.6</v>
      </c>
      <c r="D3" s="33">
        <v>5.4</v>
      </c>
      <c r="E3" s="33">
        <v>7.3</v>
      </c>
      <c r="F3" s="33">
        <v>6.8</v>
      </c>
      <c r="G3" s="33" t="s">
        <v>41</v>
      </c>
      <c r="H3" s="33" t="s">
        <v>42</v>
      </c>
      <c r="I3" s="34" t="s">
        <v>43</v>
      </c>
    </row>
    <row r="4" spans="1:15" s="20" customFormat="1" x14ac:dyDescent="0.25">
      <c r="A4" s="28"/>
      <c r="B4" s="28"/>
      <c r="C4" s="29"/>
    </row>
    <row r="5" spans="1:15" ht="16.5" thickBot="1" x14ac:dyDescent="0.3">
      <c r="A5" s="57" t="s">
        <v>46</v>
      </c>
      <c r="B5" s="57"/>
      <c r="C5" s="57"/>
      <c r="D5" s="57"/>
      <c r="E5" s="57"/>
      <c r="F5" s="57"/>
      <c r="G5" s="57"/>
      <c r="H5" s="57"/>
      <c r="I5" s="57"/>
    </row>
    <row r="6" spans="1:15" ht="15.75" x14ac:dyDescent="0.25">
      <c r="A6" s="38" t="s">
        <v>47</v>
      </c>
      <c r="B6" s="39" t="s">
        <v>48</v>
      </c>
      <c r="C6" s="39" t="s">
        <v>49</v>
      </c>
      <c r="D6" s="39" t="s">
        <v>50</v>
      </c>
      <c r="E6" s="39" t="s">
        <v>51</v>
      </c>
      <c r="F6" s="39" t="s">
        <v>52</v>
      </c>
      <c r="G6" s="39" t="s">
        <v>53</v>
      </c>
      <c r="H6" s="39" t="s">
        <v>54</v>
      </c>
      <c r="I6" s="39" t="s">
        <v>55</v>
      </c>
      <c r="J6" s="39" t="s">
        <v>56</v>
      </c>
      <c r="K6" s="39" t="s">
        <v>57</v>
      </c>
      <c r="L6" s="39" t="s">
        <v>58</v>
      </c>
      <c r="M6" s="40" t="s">
        <v>59</v>
      </c>
      <c r="N6" s="35"/>
      <c r="O6" s="35"/>
    </row>
    <row r="7" spans="1:15" x14ac:dyDescent="0.25">
      <c r="A7" s="41" t="s">
        <v>60</v>
      </c>
      <c r="B7" s="25">
        <v>2.5</v>
      </c>
      <c r="C7" s="36">
        <v>3.9</v>
      </c>
      <c r="D7" s="37">
        <v>6.2</v>
      </c>
      <c r="E7" s="37">
        <v>8.1</v>
      </c>
      <c r="F7" s="37">
        <v>8.3000000000000007</v>
      </c>
      <c r="G7" s="37">
        <v>11.1</v>
      </c>
      <c r="H7" s="37">
        <v>11.9</v>
      </c>
      <c r="I7" s="37">
        <v>15.6</v>
      </c>
      <c r="J7" s="37">
        <v>22.7</v>
      </c>
      <c r="K7" s="37">
        <v>30.3</v>
      </c>
      <c r="L7" s="37">
        <v>31.8</v>
      </c>
      <c r="M7" s="42">
        <v>28.4</v>
      </c>
    </row>
    <row r="8" spans="1:15" ht="15.75" thickBot="1" x14ac:dyDescent="0.3">
      <c r="A8" s="27" t="s">
        <v>61</v>
      </c>
      <c r="B8" s="31">
        <v>2.5</v>
      </c>
      <c r="C8" s="32">
        <v>3.9</v>
      </c>
      <c r="D8" s="33">
        <v>6.2</v>
      </c>
      <c r="E8" s="33">
        <v>8.1</v>
      </c>
      <c r="F8" s="33">
        <v>8.3000000000000007</v>
      </c>
      <c r="G8" s="33">
        <v>11.1</v>
      </c>
      <c r="H8" s="33">
        <v>11.9</v>
      </c>
      <c r="I8" s="33">
        <v>15.6</v>
      </c>
      <c r="J8" s="33">
        <v>22.7</v>
      </c>
      <c r="K8" s="33">
        <v>30.3</v>
      </c>
      <c r="L8" s="33">
        <v>31.8</v>
      </c>
      <c r="M8" s="34">
        <v>28.4</v>
      </c>
    </row>
    <row r="9" spans="1:15" x14ac:dyDescent="0.25">
      <c r="A9" s="28"/>
      <c r="B9" s="28"/>
      <c r="C9" s="30"/>
    </row>
    <row r="10" spans="1:15" ht="16.5" thickBot="1" x14ac:dyDescent="0.3">
      <c r="A10" s="43" t="s">
        <v>62</v>
      </c>
      <c r="B10" s="28"/>
      <c r="C10" s="30"/>
    </row>
    <row r="11" spans="1:15" ht="78.75" x14ac:dyDescent="0.25">
      <c r="A11" s="26" t="s">
        <v>32</v>
      </c>
      <c r="B11" s="21" t="s">
        <v>63</v>
      </c>
      <c r="C11" s="21" t="s">
        <v>37</v>
      </c>
      <c r="D11" s="21" t="s">
        <v>64</v>
      </c>
      <c r="E11" s="21" t="s">
        <v>65</v>
      </c>
      <c r="F11" s="21" t="s">
        <v>67</v>
      </c>
      <c r="G11" s="35"/>
      <c r="H11" s="35"/>
      <c r="I11" s="35"/>
    </row>
    <row r="12" spans="1:15" ht="15.75" thickBot="1" x14ac:dyDescent="0.3">
      <c r="A12" s="27" t="s">
        <v>69</v>
      </c>
      <c r="B12" s="31">
        <v>7.1</v>
      </c>
      <c r="C12" s="45">
        <v>11</v>
      </c>
      <c r="D12" s="33">
        <v>17</v>
      </c>
      <c r="E12" s="33" t="s">
        <v>66</v>
      </c>
      <c r="F12" s="34" t="s">
        <v>68</v>
      </c>
      <c r="G12" s="44"/>
      <c r="H12" s="44"/>
      <c r="I12" s="44"/>
    </row>
    <row r="13" spans="1:15" x14ac:dyDescent="0.25">
      <c r="A13" s="28"/>
      <c r="B13" s="28"/>
      <c r="C13" s="30"/>
    </row>
    <row r="14" spans="1:15" x14ac:dyDescent="0.25">
      <c r="C14" s="20"/>
      <c r="D14" s="20"/>
      <c r="E14" s="20"/>
      <c r="F14" s="20"/>
      <c r="G14" s="20"/>
      <c r="H14" s="20"/>
      <c r="I14" s="20"/>
    </row>
  </sheetData>
  <sheetProtection password="E029" sheet="1" objects="1" scenarios="1"/>
  <mergeCells count="2">
    <mergeCell ref="A5:I5"/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Инструкция</vt:lpstr>
      <vt:lpstr>Расчет</vt:lpstr>
      <vt:lpstr>Справка</vt:lpstr>
      <vt:lpstr>Расчет!Диаметр</vt:lpstr>
      <vt:lpstr>Диаметр</vt:lpstr>
      <vt:lpstr>Расчет!заправка</vt:lpstr>
      <vt:lpstr>заправка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2020-10-12T07:32:37Z</dcterms:modified>
</cp:coreProperties>
</file>